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Shared\Budget\FY21-22 Budget\Budget Development\"/>
    </mc:Choice>
  </mc:AlternateContent>
  <xr:revisionPtr revIDLastSave="0" documentId="13_ncr:1_{8725F960-BDCD-4AF2-968E-83534EBB9D0B}" xr6:coauthVersionLast="46" xr6:coauthVersionMax="46" xr10:uidLastSave="{00000000-0000-0000-0000-000000000000}"/>
  <bookViews>
    <workbookView xWindow="-120" yWindow="-120" windowWidth="29040" windowHeight="15840" xr2:uid="{7DA871CB-FE0E-4D0F-AE3F-45C0E16FD9F8}"/>
  </bookViews>
  <sheets>
    <sheet name="Cost Comparison" sheetId="1" r:id="rId1"/>
    <sheet name="FY21-22 Benefit Rates" sheetId="2" state="hidden" r:id="rId2"/>
  </sheets>
  <definedNames>
    <definedName name="_xlnm.Print_Titles" localSheetId="0">'Cost Comparison'!$1:$3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6" i="1"/>
  <c r="F18" i="1"/>
  <c r="F23" i="1" s="1"/>
  <c r="F20" i="1" l="1"/>
  <c r="F24" i="1"/>
  <c r="F21" i="1"/>
  <c r="F25" i="1"/>
  <c r="F22" i="1"/>
  <c r="C31" i="1"/>
  <c r="C30" i="1"/>
  <c r="C29" i="1"/>
  <c r="C28" i="1"/>
  <c r="C26" i="1"/>
  <c r="C18" i="1"/>
  <c r="C23" i="1" s="1"/>
  <c r="B19" i="2" l="1"/>
  <c r="C19" i="2"/>
  <c r="D19" i="2"/>
  <c r="C24" i="1"/>
  <c r="C25" i="1"/>
  <c r="F27" i="1" l="1"/>
  <c r="F32" i="1" s="1"/>
  <c r="F34" i="1" s="1"/>
  <c r="F36" i="1" s="1"/>
  <c r="F38" i="1" s="1"/>
  <c r="C27" i="1"/>
  <c r="F39" i="1" l="1"/>
  <c r="F40" i="1"/>
  <c r="F41" i="1"/>
  <c r="F42" i="1" s="1"/>
  <c r="B31" i="2"/>
  <c r="B30" i="2"/>
  <c r="B25" i="2"/>
  <c r="B26" i="2"/>
  <c r="B32" i="2" l="1"/>
  <c r="J13" i="1" l="1"/>
  <c r="J29" i="1" l="1"/>
  <c r="J28" i="1"/>
  <c r="J26" i="1"/>
  <c r="F16" i="1"/>
  <c r="J15" i="1" l="1"/>
  <c r="J16" i="1" s="1"/>
  <c r="J30" i="1" l="1"/>
  <c r="J31" i="1"/>
  <c r="C16" i="1"/>
  <c r="J18" i="1" l="1"/>
  <c r="J23" i="1"/>
  <c r="C20" i="1"/>
  <c r="C22" i="1"/>
  <c r="C21" i="1"/>
  <c r="J22" i="1" l="1"/>
  <c r="J21" i="1"/>
  <c r="J25" i="1"/>
  <c r="J24" i="1"/>
  <c r="J20" i="1"/>
  <c r="C32" i="1"/>
  <c r="C34" i="1" s="1"/>
  <c r="C36" i="1" s="1"/>
  <c r="J32" i="1" l="1"/>
  <c r="J34" i="1" s="1"/>
  <c r="C40" i="1"/>
  <c r="C41" i="1"/>
  <c r="C42" i="1" s="1"/>
  <c r="C39" i="1"/>
  <c r="J39" i="1" s="1"/>
  <c r="J36" i="1"/>
  <c r="C38" i="1"/>
  <c r="J38" i="1" s="1"/>
  <c r="J41" i="1" l="1"/>
  <c r="J40" i="1"/>
  <c r="J42" i="1"/>
</calcChain>
</file>

<file path=xl/sharedStrings.xml><?xml version="1.0" encoding="utf-8"?>
<sst xmlns="http://schemas.openxmlformats.org/spreadsheetml/2006/main" count="188" uniqueCount="86">
  <si>
    <t>Hourly Pay Rate</t>
  </si>
  <si>
    <t>Flex</t>
  </si>
  <si>
    <t>Unemployment</t>
  </si>
  <si>
    <t>Social Security</t>
  </si>
  <si>
    <t>Medicare</t>
  </si>
  <si>
    <t>Average hours per Pay Period</t>
  </si>
  <si>
    <t>Worked Annual Hours</t>
  </si>
  <si>
    <t>Total cost per pay period</t>
  </si>
  <si>
    <t>Employer PERS</t>
  </si>
  <si>
    <t>LT Disability</t>
  </si>
  <si>
    <t>ST Disability</t>
  </si>
  <si>
    <t>COLA</t>
  </si>
  <si>
    <t>Life</t>
  </si>
  <si>
    <t>Optical</t>
  </si>
  <si>
    <t>Pension &amp; Training</t>
  </si>
  <si>
    <t>401A</t>
  </si>
  <si>
    <t>Type</t>
  </si>
  <si>
    <t>% hours worked</t>
  </si>
  <si>
    <t>COST</t>
  </si>
  <si>
    <t>General</t>
  </si>
  <si>
    <t>Seasonal</t>
  </si>
  <si>
    <t>Management</t>
  </si>
  <si>
    <t>Unrep</t>
  </si>
  <si>
    <t>DIFFERENCE</t>
  </si>
  <si>
    <t>REGIONAL PARKS &amp; OPEN SPACE DISTRICT</t>
  </si>
  <si>
    <t>Personnel Cost Estimation Worksheet</t>
  </si>
  <si>
    <t>~ See Job Descriptions at www.rc-hr.com for Hourly Pay Rate ranges ~</t>
  </si>
  <si>
    <t>Supervisor</t>
  </si>
  <si>
    <t>PKSeas</t>
  </si>
  <si>
    <t>PKSupv</t>
  </si>
  <si>
    <t>PKGen</t>
  </si>
  <si>
    <t>PKMgr</t>
  </si>
  <si>
    <t>UNRep</t>
  </si>
  <si>
    <t>Pay Period Salary</t>
  </si>
  <si>
    <t>Total Benefits</t>
  </si>
  <si>
    <t>COST PER PAY PERIOD</t>
  </si>
  <si>
    <t>CHANGE IN COST PER PAY PERIOD</t>
  </si>
  <si>
    <t>Total Annual Cost</t>
  </si>
  <si>
    <r>
      <rPr>
        <u/>
        <sz val="14"/>
        <color rgb="FFC00000"/>
        <rFont val="Calibri"/>
        <family val="2"/>
        <scheme val="minor"/>
      </rPr>
      <t>INSTRUCTIONS</t>
    </r>
    <r>
      <rPr>
        <sz val="14"/>
        <color rgb="FFC0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Enter position-specific data in the GREEN CELLS; calculations are automatic</t>
    </r>
  </si>
  <si>
    <t>Productive Hourly Rate</t>
  </si>
  <si>
    <t>Billable Hourly Rate</t>
  </si>
  <si>
    <t>Productive Hourly Rate+OH</t>
  </si>
  <si>
    <t>Change in Productive Hourly Rate</t>
  </si>
  <si>
    <t>Change in Productive Hourly Rate+OH</t>
  </si>
  <si>
    <t>Change in Billable Hourly Rate</t>
  </si>
  <si>
    <t>Change in Total Benefits</t>
  </si>
  <si>
    <t>Change in Total Cost per pay period</t>
  </si>
  <si>
    <t>Change in Hourly Pay Rate</t>
  </si>
  <si>
    <t>Change in Worked Annual Hours</t>
  </si>
  <si>
    <t>Change in Average hours per Pay Period</t>
  </si>
  <si>
    <t>Change in Pay Period Salary</t>
  </si>
  <si>
    <t>Change in Annual Cost</t>
  </si>
  <si>
    <t>Burdened Hourly Rate</t>
  </si>
  <si>
    <t>Change in Burdened Hourly Rate</t>
  </si>
  <si>
    <t>Cellphone</t>
  </si>
  <si>
    <t>Uniform Allowance</t>
  </si>
  <si>
    <t>Payroll Services</t>
  </si>
  <si>
    <t>PSEC Radio</t>
  </si>
  <si>
    <t>HR Services</t>
  </si>
  <si>
    <t>Training &amp; Safety</t>
  </si>
  <si>
    <t>P-card annual fee</t>
  </si>
  <si>
    <t>Productive+OH+Misc Costs</t>
  </si>
  <si>
    <t>Change in Productive+OH+Misc Costs</t>
  </si>
  <si>
    <t>Misc. Annual Direct Employee Costs:</t>
  </si>
  <si>
    <t>WHAT'S INCLUDED IN THE RATE?</t>
  </si>
  <si>
    <t>X</t>
  </si>
  <si>
    <t>Benefits</t>
  </si>
  <si>
    <t>Worked Hours</t>
  </si>
  <si>
    <t>Holiday Hours</t>
  </si>
  <si>
    <t>Vacation Hours</t>
  </si>
  <si>
    <t>Sick Hours</t>
  </si>
  <si>
    <t>Administrative Overhead</t>
  </si>
  <si>
    <t>RATE TYPE</t>
  </si>
  <si>
    <t>Salary (Hourly pay class/step)</t>
  </si>
  <si>
    <t>Single (SEIU)</t>
  </si>
  <si>
    <t>Two-Party (SEIU)</t>
  </si>
  <si>
    <t>Family (SEIU)</t>
  </si>
  <si>
    <t>Single (Unrep/Mgmt)</t>
  </si>
  <si>
    <t>Two-Party (Unrep/Mgmt)</t>
  </si>
  <si>
    <t>Family (Unrep/Mgmt)</t>
  </si>
  <si>
    <t>Flex Benefit Type</t>
  </si>
  <si>
    <t>Flex Benefit</t>
  </si>
  <si>
    <t>Union Fees</t>
  </si>
  <si>
    <t>Union Fees (STRAIN+Basic Life)</t>
  </si>
  <si>
    <t>FY 2021-22 BUDGET DEVELOPMENT</t>
  </si>
  <si>
    <t>IMPORTANT: This worksheet is to be used as a guide for estimating annual personnel costs for FY21-22 ONLY.
All rates are subject to change, actual costs may vary.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</si>
</sst>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&quot;$&quot;#,##0.0000"/>
    <numFmt numFmtId="168" formatCode="0.00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u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6" xfId="1" applyFont="1" applyBorder="1" applyAlignment="1">
      <alignment horizontal="center"/>
    </xf>
    <xf numFmtId="0" fontId="0" fillId="0" borderId="18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28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 wrapText="1"/>
    </xf>
    <xf numFmtId="0" fontId="0" fillId="0" borderId="20" xfId="0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165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165" fontId="0" fillId="0" borderId="0" xfId="1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165" fontId="31" fillId="0" borderId="0" xfId="0" applyNumberFormat="1" applyFont="1" applyAlignment="1" applyProtection="1">
      <alignment vertical="center"/>
    </xf>
    <xf numFmtId="165" fontId="21" fillId="0" borderId="0" xfId="1" applyNumberFormat="1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165" fontId="33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horizontal="right" vertical="center"/>
    </xf>
    <xf numFmtId="165" fontId="16" fillId="0" borderId="23" xfId="0" applyNumberFormat="1" applyFont="1" applyBorder="1" applyAlignment="1" applyProtection="1">
      <alignment horizontal="right" vertical="center"/>
    </xf>
    <xf numFmtId="0" fontId="34" fillId="0" borderId="24" xfId="0" applyFont="1" applyBorder="1" applyAlignment="1" applyProtection="1">
      <alignment horizontal="right" vertical="center"/>
    </xf>
    <xf numFmtId="165" fontId="34" fillId="33" borderId="31" xfId="1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38" fillId="0" borderId="24" xfId="0" applyFont="1" applyBorder="1" applyAlignment="1" applyProtection="1">
      <alignment horizontal="right" vertical="center"/>
    </xf>
    <xf numFmtId="0" fontId="38" fillId="0" borderId="26" xfId="0" applyFont="1" applyBorder="1" applyAlignment="1" applyProtection="1">
      <alignment horizontal="right" vertical="center"/>
    </xf>
    <xf numFmtId="165" fontId="16" fillId="0" borderId="22" xfId="0" applyNumberFormat="1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right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164" fontId="0" fillId="34" borderId="35" xfId="1" applyNumberFormat="1" applyFont="1" applyFill="1" applyBorder="1" applyAlignment="1" applyProtection="1">
      <alignment horizontal="center" vertical="center"/>
      <protection locked="0"/>
    </xf>
    <xf numFmtId="9" fontId="0" fillId="34" borderId="35" xfId="2" applyFont="1" applyFill="1" applyBorder="1" applyAlignment="1" applyProtection="1">
      <alignment horizontal="center" vertical="center"/>
      <protection locked="0"/>
    </xf>
    <xf numFmtId="0" fontId="32" fillId="0" borderId="39" xfId="0" applyFont="1" applyFill="1" applyBorder="1" applyAlignment="1" applyProtection="1">
      <alignment vertical="center"/>
    </xf>
    <xf numFmtId="165" fontId="31" fillId="0" borderId="40" xfId="0" applyNumberFormat="1" applyFont="1" applyFill="1" applyBorder="1" applyAlignment="1" applyProtection="1">
      <alignment vertical="center"/>
    </xf>
    <xf numFmtId="0" fontId="21" fillId="0" borderId="24" xfId="0" applyFont="1" applyFill="1" applyBorder="1" applyAlignment="1" applyProtection="1">
      <alignment horizontal="right" vertical="center"/>
    </xf>
    <xf numFmtId="165" fontId="21" fillId="0" borderId="25" xfId="1" applyNumberFormat="1" applyFont="1" applyBorder="1" applyAlignment="1" applyProtection="1">
      <alignment vertical="center"/>
    </xf>
    <xf numFmtId="165" fontId="0" fillId="0" borderId="25" xfId="1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165" fontId="21" fillId="0" borderId="24" xfId="1" applyNumberFormat="1" applyFont="1" applyFill="1" applyBorder="1" applyAlignment="1" applyProtection="1">
      <alignment horizontal="right" vertical="center"/>
    </xf>
    <xf numFmtId="165" fontId="0" fillId="0" borderId="24" xfId="1" applyNumberFormat="1" applyFont="1" applyBorder="1" applyAlignment="1" applyProtection="1">
      <alignment vertical="center"/>
    </xf>
    <xf numFmtId="165" fontId="0" fillId="0" borderId="24" xfId="1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right" vertical="center"/>
    </xf>
    <xf numFmtId="165" fontId="1" fillId="0" borderId="25" xfId="1" applyNumberFormat="1" applyFont="1" applyBorder="1" applyAlignment="1" applyProtection="1">
      <alignment horizontal="right" vertical="center"/>
    </xf>
    <xf numFmtId="165" fontId="1" fillId="0" borderId="0" xfId="1" applyNumberFormat="1" applyFont="1" applyAlignment="1" applyProtection="1">
      <alignment vertical="center"/>
    </xf>
    <xf numFmtId="165" fontId="1" fillId="0" borderId="24" xfId="1" applyNumberFormat="1" applyFont="1" applyBorder="1" applyAlignment="1" applyProtection="1">
      <alignment horizontal="right" vertical="center"/>
    </xf>
    <xf numFmtId="165" fontId="1" fillId="0" borderId="24" xfId="1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165" fontId="1" fillId="0" borderId="25" xfId="1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right" vertical="center"/>
    </xf>
    <xf numFmtId="165" fontId="1" fillId="0" borderId="27" xfId="1" applyNumberFormat="1" applyFont="1" applyBorder="1" applyAlignment="1" applyProtection="1">
      <alignment horizontal="right" vertical="center"/>
    </xf>
    <xf numFmtId="165" fontId="1" fillId="0" borderId="26" xfId="1" applyNumberFormat="1" applyFont="1" applyBorder="1" applyAlignment="1" applyProtection="1">
      <alignment horizontal="right" vertical="center"/>
    </xf>
    <xf numFmtId="44" fontId="39" fillId="35" borderId="25" xfId="0" applyNumberFormat="1" applyFont="1" applyFill="1" applyBorder="1" applyAlignment="1" applyProtection="1">
      <alignment horizontal="right" vertical="center"/>
    </xf>
    <xf numFmtId="44" fontId="39" fillId="35" borderId="27" xfId="0" applyNumberFormat="1" applyFont="1" applyFill="1" applyBorder="1" applyAlignment="1" applyProtection="1">
      <alignment horizontal="right" vertical="center"/>
    </xf>
    <xf numFmtId="0" fontId="0" fillId="36" borderId="24" xfId="0" applyFill="1" applyBorder="1" applyAlignment="1" applyProtection="1">
      <alignment vertical="center"/>
    </xf>
    <xf numFmtId="0" fontId="0" fillId="36" borderId="0" xfId="0" applyFill="1" applyBorder="1" applyAlignment="1" applyProtection="1">
      <alignment vertical="center"/>
    </xf>
    <xf numFmtId="0" fontId="0" fillId="36" borderId="25" xfId="0" applyFill="1" applyBorder="1" applyAlignment="1" applyProtection="1">
      <alignment vertical="center"/>
    </xf>
    <xf numFmtId="0" fontId="16" fillId="36" borderId="24" xfId="0" applyFont="1" applyFill="1" applyBorder="1" applyAlignment="1" applyProtection="1">
      <alignment horizontal="right" vertical="center"/>
    </xf>
    <xf numFmtId="0" fontId="16" fillId="36" borderId="0" xfId="0" applyFont="1" applyFill="1" applyBorder="1" applyAlignment="1" applyProtection="1">
      <alignment horizontal="right" vertical="center"/>
    </xf>
    <xf numFmtId="0" fontId="0" fillId="36" borderId="25" xfId="0" applyFill="1" applyBorder="1" applyAlignment="1" applyProtection="1">
      <alignment horizontal="center" vertical="center"/>
    </xf>
    <xf numFmtId="0" fontId="40" fillId="36" borderId="0" xfId="0" applyFont="1" applyFill="1" applyBorder="1" applyAlignment="1" applyProtection="1">
      <alignment horizontal="right" vertical="center"/>
    </xf>
    <xf numFmtId="164" fontId="0" fillId="36" borderId="35" xfId="1" applyNumberFormat="1" applyFont="1" applyFill="1" applyBorder="1" applyAlignment="1" applyProtection="1">
      <alignment horizontal="center" vertical="center"/>
    </xf>
    <xf numFmtId="9" fontId="0" fillId="36" borderId="25" xfId="2" applyFont="1" applyFill="1" applyBorder="1" applyAlignment="1" applyProtection="1">
      <alignment horizontal="center" vertical="center"/>
    </xf>
    <xf numFmtId="0" fontId="21" fillId="36" borderId="24" xfId="0" applyFont="1" applyFill="1" applyBorder="1" applyAlignment="1" applyProtection="1">
      <alignment vertical="center"/>
    </xf>
    <xf numFmtId="165" fontId="22" fillId="36" borderId="37" xfId="0" applyNumberFormat="1" applyFont="1" applyFill="1" applyBorder="1" applyAlignment="1" applyProtection="1">
      <alignment vertical="center"/>
    </xf>
    <xf numFmtId="0" fontId="32" fillId="36" borderId="39" xfId="0" applyFont="1" applyFill="1" applyBorder="1" applyAlignment="1" applyProtection="1">
      <alignment vertical="center"/>
    </xf>
    <xf numFmtId="165" fontId="31" fillId="36" borderId="19" xfId="0" applyNumberFormat="1" applyFont="1" applyFill="1" applyBorder="1" applyAlignment="1" applyProtection="1">
      <alignment vertical="center"/>
    </xf>
    <xf numFmtId="165" fontId="31" fillId="36" borderId="40" xfId="0" applyNumberFormat="1" applyFont="1" applyFill="1" applyBorder="1" applyAlignment="1" applyProtection="1">
      <alignment vertical="center"/>
    </xf>
    <xf numFmtId="165" fontId="21" fillId="36" borderId="24" xfId="1" applyNumberFormat="1" applyFont="1" applyFill="1" applyBorder="1" applyAlignment="1" applyProtection="1">
      <alignment vertical="center"/>
    </xf>
    <xf numFmtId="165" fontId="21" fillId="36" borderId="0" xfId="1" applyNumberFormat="1" applyFont="1" applyFill="1" applyBorder="1" applyAlignment="1" applyProtection="1">
      <alignment horizontal="right" vertical="center"/>
    </xf>
    <xf numFmtId="165" fontId="21" fillId="36" borderId="25" xfId="1" applyNumberFormat="1" applyFont="1" applyFill="1" applyBorder="1" applyAlignment="1" applyProtection="1">
      <alignment vertical="center"/>
    </xf>
    <xf numFmtId="165" fontId="0" fillId="36" borderId="24" xfId="1" applyNumberFormat="1" applyFont="1" applyFill="1" applyBorder="1" applyAlignment="1" applyProtection="1">
      <alignment vertical="center"/>
    </xf>
    <xf numFmtId="165" fontId="0" fillId="36" borderId="0" xfId="1" applyNumberFormat="1" applyFont="1" applyFill="1" applyBorder="1" applyAlignment="1" applyProtection="1">
      <alignment vertical="center"/>
    </xf>
    <xf numFmtId="165" fontId="0" fillId="36" borderId="25" xfId="1" applyNumberFormat="1" applyFont="1" applyFill="1" applyBorder="1" applyAlignment="1" applyProtection="1">
      <alignment vertical="center"/>
    </xf>
    <xf numFmtId="165" fontId="21" fillId="36" borderId="38" xfId="1" applyNumberFormat="1" applyFont="1" applyFill="1" applyBorder="1" applyAlignment="1" applyProtection="1">
      <alignment vertical="center"/>
    </xf>
    <xf numFmtId="165" fontId="1" fillId="36" borderId="24" xfId="1" applyNumberFormat="1" applyFont="1" applyFill="1" applyBorder="1" applyAlignment="1" applyProtection="1">
      <alignment vertical="center"/>
    </xf>
    <xf numFmtId="165" fontId="21" fillId="36" borderId="25" xfId="1" applyNumberFormat="1" applyFont="1" applyFill="1" applyBorder="1" applyAlignment="1" applyProtection="1">
      <alignment horizontal="right" vertical="center"/>
    </xf>
    <xf numFmtId="165" fontId="21" fillId="36" borderId="0" xfId="1" applyNumberFormat="1" applyFont="1" applyFill="1" applyBorder="1" applyAlignment="1" applyProtection="1">
      <alignment vertical="center"/>
    </xf>
    <xf numFmtId="165" fontId="1" fillId="36" borderId="26" xfId="1" applyNumberFormat="1" applyFont="1" applyFill="1" applyBorder="1" applyAlignment="1" applyProtection="1">
      <alignment vertical="center"/>
    </xf>
    <xf numFmtId="165" fontId="21" fillId="36" borderId="30" xfId="1" applyNumberFormat="1" applyFont="1" applyFill="1" applyBorder="1" applyAlignment="1" applyProtection="1">
      <alignment horizontal="right" vertical="center"/>
    </xf>
    <xf numFmtId="165" fontId="21" fillId="36" borderId="27" xfId="1" applyNumberFormat="1" applyFont="1" applyFill="1" applyBorder="1" applyAlignment="1" applyProtection="1">
      <alignment horizontal="right" vertical="center"/>
    </xf>
    <xf numFmtId="165" fontId="33" fillId="36" borderId="24" xfId="0" applyNumberFormat="1" applyFont="1" applyFill="1" applyBorder="1" applyAlignment="1" applyProtection="1">
      <alignment vertical="center"/>
    </xf>
    <xf numFmtId="0" fontId="38" fillId="36" borderId="24" xfId="0" applyFont="1" applyFill="1" applyBorder="1" applyAlignment="1" applyProtection="1">
      <alignment horizontal="right" vertical="center"/>
    </xf>
    <xf numFmtId="0" fontId="30" fillId="36" borderId="24" xfId="0" applyFont="1" applyFill="1" applyBorder="1" applyAlignment="1" applyProtection="1">
      <alignment vertical="center"/>
    </xf>
    <xf numFmtId="0" fontId="29" fillId="36" borderId="24" xfId="0" applyFont="1" applyFill="1" applyBorder="1" applyAlignment="1" applyProtection="1">
      <alignment horizontal="right" vertical="center"/>
    </xf>
    <xf numFmtId="0" fontId="0" fillId="36" borderId="26" xfId="0" applyFill="1" applyBorder="1" applyAlignment="1" applyProtection="1">
      <alignment vertical="center"/>
    </xf>
    <xf numFmtId="165" fontId="16" fillId="36" borderId="32" xfId="0" applyNumberFormat="1" applyFont="1" applyFill="1" applyBorder="1" applyAlignment="1" applyProtection="1">
      <alignment horizontal="right" vertical="center"/>
    </xf>
    <xf numFmtId="165" fontId="16" fillId="36" borderId="23" xfId="0" applyNumberFormat="1" applyFont="1" applyFill="1" applyBorder="1" applyAlignment="1" applyProtection="1">
      <alignment horizontal="right" vertical="center"/>
    </xf>
    <xf numFmtId="165" fontId="0" fillId="36" borderId="22" xfId="0" applyNumberFormat="1" applyFill="1" applyBorder="1" applyAlignment="1" applyProtection="1">
      <alignment vertical="center"/>
    </xf>
    <xf numFmtId="0" fontId="41" fillId="0" borderId="24" xfId="0" applyFont="1" applyBorder="1" applyAlignment="1" applyProtection="1">
      <alignment horizontal="right" vertical="center"/>
    </xf>
    <xf numFmtId="0" fontId="41" fillId="0" borderId="36" xfId="0" applyFont="1" applyFill="1" applyBorder="1" applyAlignment="1" applyProtection="1">
      <alignment horizontal="center" vertical="center"/>
    </xf>
    <xf numFmtId="0" fontId="41" fillId="0" borderId="37" xfId="0" applyFont="1" applyBorder="1" applyAlignment="1" applyProtection="1">
      <alignment horizontal="right" vertical="center"/>
    </xf>
    <xf numFmtId="0" fontId="42" fillId="36" borderId="0" xfId="0" applyFont="1" applyFill="1" applyBorder="1" applyAlignment="1" applyProtection="1">
      <alignment horizontal="right" vertical="center"/>
    </xf>
    <xf numFmtId="165" fontId="42" fillId="36" borderId="20" xfId="0" applyNumberFormat="1" applyFont="1" applyFill="1" applyBorder="1" applyAlignment="1" applyProtection="1">
      <alignment horizontal="right" vertical="center"/>
    </xf>
    <xf numFmtId="0" fontId="42" fillId="36" borderId="38" xfId="0" applyFont="1" applyFill="1" applyBorder="1" applyAlignment="1" applyProtection="1">
      <alignment horizontal="center" vertical="center"/>
    </xf>
    <xf numFmtId="0" fontId="42" fillId="36" borderId="35" xfId="0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165" fontId="16" fillId="0" borderId="42" xfId="0" applyNumberFormat="1" applyFont="1" applyBorder="1" applyAlignment="1" applyProtection="1">
      <alignment vertical="center"/>
    </xf>
    <xf numFmtId="165" fontId="42" fillId="36" borderId="0" xfId="0" applyNumberFormat="1" applyFont="1" applyFill="1" applyBorder="1" applyAlignment="1" applyProtection="1">
      <alignment horizontal="right" vertical="center"/>
    </xf>
    <xf numFmtId="165" fontId="42" fillId="33" borderId="31" xfId="1" applyNumberFormat="1" applyFont="1" applyFill="1" applyBorder="1" applyAlignment="1" applyProtection="1">
      <alignment horizontal="right" vertical="center"/>
    </xf>
    <xf numFmtId="0" fontId="42" fillId="36" borderId="0" xfId="0" applyFont="1" applyFill="1" applyBorder="1" applyAlignment="1" applyProtection="1">
      <alignment vertical="center"/>
    </xf>
    <xf numFmtId="0" fontId="42" fillId="36" borderId="25" xfId="0" applyFont="1" applyFill="1" applyBorder="1" applyAlignment="1" applyProtection="1">
      <alignment vertical="center"/>
    </xf>
    <xf numFmtId="0" fontId="44" fillId="36" borderId="0" xfId="0" applyFont="1" applyFill="1" applyBorder="1" applyAlignment="1" applyProtection="1">
      <alignment horizontal="right" vertical="center"/>
    </xf>
    <xf numFmtId="44" fontId="44" fillId="35" borderId="25" xfId="0" applyNumberFormat="1" applyFont="1" applyFill="1" applyBorder="1" applyAlignment="1" applyProtection="1">
      <alignment horizontal="right" vertical="center"/>
    </xf>
    <xf numFmtId="44" fontId="44" fillId="35" borderId="27" xfId="0" applyNumberFormat="1" applyFont="1" applyFill="1" applyBorder="1" applyAlignment="1" applyProtection="1">
      <alignment horizontal="right" vertical="center"/>
    </xf>
    <xf numFmtId="0" fontId="44" fillId="36" borderId="30" xfId="0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1" fillId="0" borderId="10" xfId="0" applyFont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center" vertical="center"/>
    </xf>
    <xf numFmtId="0" fontId="41" fillId="0" borderId="49" xfId="0" applyFont="1" applyBorder="1" applyAlignment="1" applyProtection="1">
      <alignment horizontal="center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46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vertical="center"/>
    </xf>
    <xf numFmtId="44" fontId="0" fillId="0" borderId="25" xfId="1" applyNumberFormat="1" applyFont="1" applyBorder="1" applyAlignment="1" applyProtection="1">
      <alignment vertical="center"/>
    </xf>
    <xf numFmtId="44" fontId="0" fillId="0" borderId="38" xfId="1" applyNumberFormat="1" applyFont="1" applyBorder="1" applyAlignment="1" applyProtection="1">
      <alignment vertical="center"/>
    </xf>
    <xf numFmtId="166" fontId="0" fillId="0" borderId="0" xfId="1" applyNumberFormat="1" applyFont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0" fontId="30" fillId="34" borderId="35" xfId="0" applyFont="1" applyFill="1" applyBorder="1" applyAlignment="1" applyProtection="1">
      <alignment horizontal="center" vertical="center"/>
      <protection locked="0"/>
    </xf>
    <xf numFmtId="167" fontId="0" fillId="34" borderId="35" xfId="1" applyNumberFormat="1" applyFont="1" applyFill="1" applyBorder="1" applyAlignment="1" applyProtection="1">
      <alignment horizontal="center" vertical="center"/>
      <protection locked="0"/>
    </xf>
    <xf numFmtId="168" fontId="0" fillId="0" borderId="16" xfId="0" applyNumberFormat="1" applyBorder="1" applyAlignment="1">
      <alignment horizontal="center"/>
    </xf>
    <xf numFmtId="168" fontId="0" fillId="0" borderId="16" xfId="1" applyNumberFormat="1" applyFont="1" applyBorder="1" applyAlignment="1">
      <alignment horizontal="center"/>
    </xf>
    <xf numFmtId="1" fontId="41" fillId="0" borderId="38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33" fillId="35" borderId="22" xfId="0" applyFont="1" applyFill="1" applyBorder="1" applyAlignment="1" applyProtection="1">
      <alignment horizontal="center" vertical="center" wrapText="1"/>
    </xf>
    <xf numFmtId="0" fontId="33" fillId="35" borderId="23" xfId="0" applyFont="1" applyFill="1" applyBorder="1" applyAlignment="1" applyProtection="1">
      <alignment horizontal="center" vertical="center" wrapText="1"/>
    </xf>
    <xf numFmtId="0" fontId="33" fillId="35" borderId="24" xfId="0" applyFont="1" applyFill="1" applyBorder="1" applyAlignment="1" applyProtection="1">
      <alignment horizontal="center" vertical="center" wrapText="1"/>
    </xf>
    <xf numFmtId="0" fontId="33" fillId="35" borderId="25" xfId="0" applyFont="1" applyFill="1" applyBorder="1" applyAlignment="1" applyProtection="1">
      <alignment horizontal="center" vertical="center" wrapText="1"/>
    </xf>
    <xf numFmtId="0" fontId="33" fillId="35" borderId="26" xfId="0" applyFont="1" applyFill="1" applyBorder="1" applyAlignment="1" applyProtection="1">
      <alignment horizontal="center" vertical="center" wrapText="1"/>
    </xf>
    <xf numFmtId="0" fontId="33" fillId="35" borderId="27" xfId="0" applyFont="1" applyFill="1" applyBorder="1" applyAlignment="1" applyProtection="1">
      <alignment horizontal="center" vertical="center" wrapText="1"/>
    </xf>
    <xf numFmtId="0" fontId="20" fillId="34" borderId="33" xfId="0" applyFont="1" applyFill="1" applyBorder="1" applyAlignment="1" applyProtection="1">
      <alignment horizontal="center" vertical="center" wrapText="1"/>
      <protection locked="0"/>
    </xf>
    <xf numFmtId="0" fontId="20" fillId="34" borderId="34" xfId="0" applyFont="1" applyFill="1" applyBorder="1" applyAlignment="1" applyProtection="1">
      <alignment horizontal="center" vertical="center" wrapText="1"/>
      <protection locked="0"/>
    </xf>
    <xf numFmtId="0" fontId="23" fillId="36" borderId="33" xfId="0" applyFont="1" applyFill="1" applyBorder="1" applyAlignment="1" applyProtection="1">
      <alignment horizontal="center" vertical="center" wrapText="1"/>
    </xf>
    <xf numFmtId="0" fontId="23" fillId="36" borderId="41" xfId="0" applyFont="1" applyFill="1" applyBorder="1" applyAlignment="1" applyProtection="1">
      <alignment horizontal="center" vertical="center" wrapText="1"/>
    </xf>
    <xf numFmtId="0" fontId="23" fillId="36" borderId="34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textRotation="90"/>
    </xf>
    <xf numFmtId="0" fontId="0" fillId="0" borderId="13" xfId="0" applyBorder="1" applyAlignment="1" applyProtection="1">
      <alignment horizontal="center" textRotation="90"/>
    </xf>
    <xf numFmtId="0" fontId="0" fillId="0" borderId="29" xfId="0" applyBorder="1" applyAlignment="1" applyProtection="1">
      <alignment horizontal="center" textRotation="90"/>
    </xf>
    <xf numFmtId="0" fontId="0" fillId="0" borderId="52" xfId="0" applyBorder="1" applyAlignment="1" applyProtection="1">
      <alignment horizontal="center" textRotation="90"/>
    </xf>
    <xf numFmtId="0" fontId="0" fillId="0" borderId="0" xfId="0" applyBorder="1" applyAlignment="1" applyProtection="1">
      <alignment horizontal="center" textRotation="90"/>
    </xf>
    <xf numFmtId="0" fontId="0" fillId="0" borderId="30" xfId="0" applyBorder="1" applyAlignment="1" applyProtection="1">
      <alignment horizontal="center" textRotation="90"/>
    </xf>
    <xf numFmtId="0" fontId="0" fillId="0" borderId="54" xfId="0" applyBorder="1" applyAlignment="1" applyProtection="1">
      <alignment horizontal="center" textRotation="90"/>
    </xf>
    <xf numFmtId="0" fontId="0" fillId="0" borderId="55" xfId="0" applyBorder="1" applyAlignment="1" applyProtection="1">
      <alignment horizontal="center" textRotation="90"/>
    </xf>
    <xf numFmtId="0" fontId="0" fillId="0" borderId="56" xfId="0" applyBorder="1" applyAlignment="1" applyProtection="1">
      <alignment horizontal="center" textRotation="90"/>
    </xf>
    <xf numFmtId="0" fontId="34" fillId="0" borderId="53" xfId="0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34" fillId="0" borderId="14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textRotation="90"/>
    </xf>
    <xf numFmtId="0" fontId="0" fillId="0" borderId="12" xfId="0" applyBorder="1" applyAlignment="1" applyProtection="1">
      <alignment horizontal="center" textRotation="90"/>
    </xf>
    <xf numFmtId="0" fontId="0" fillId="0" borderId="28" xfId="0" applyBorder="1" applyAlignment="1" applyProtection="1">
      <alignment horizontal="center" textRotation="90"/>
    </xf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5" xr:uid="{00000000-0005-0000-0000-00001B000000}"/>
    <cellStyle name="Currency" xfId="1" builtinId="4"/>
    <cellStyle name="Currency 2" xfId="46" xr:uid="{00000000-0005-0000-0000-00001D000000}"/>
    <cellStyle name="Currency 3" xfId="48" xr:uid="{00000000-0005-0000-0000-00001E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9000000}"/>
    <cellStyle name="Normal 3" xfId="49" xr:uid="{00000000-0005-0000-0000-00002A000000}"/>
    <cellStyle name="Note" xfId="17" builtinId="10" customBuiltin="1"/>
    <cellStyle name="Output" xfId="12" builtinId="21" customBuiltin="1"/>
    <cellStyle name="Percent" xfId="2" builtinId="5"/>
    <cellStyle name="Percent 2" xfId="47" xr:uid="{00000000-0005-0000-0000-00002E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74083</xdr:rowOff>
    </xdr:from>
    <xdr:to>
      <xdr:col>0</xdr:col>
      <xdr:colOff>656166</xdr:colOff>
      <xdr:row>2</xdr:row>
      <xdr:rowOff>179916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74083"/>
          <a:ext cx="613833" cy="613833"/>
        </a:xfrm>
        <a:prstGeom prst="rect">
          <a:avLst/>
        </a:prstGeom>
      </xdr:spPr>
    </xdr:pic>
    <xdr:clientData/>
  </xdr:twoCellAnchor>
  <xdr:twoCellAnchor editAs="oneCell">
    <xdr:from>
      <xdr:col>11</xdr:col>
      <xdr:colOff>59530</xdr:colOff>
      <xdr:row>0</xdr:row>
      <xdr:rowOff>0</xdr:rowOff>
    </xdr:from>
    <xdr:to>
      <xdr:col>11</xdr:col>
      <xdr:colOff>673363</xdr:colOff>
      <xdr:row>2</xdr:row>
      <xdr:rowOff>105833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4" y="0"/>
          <a:ext cx="613833" cy="629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7"/>
  <sheetViews>
    <sheetView tabSelected="1" topLeftCell="B1" workbookViewId="0">
      <selection activeCell="C15" sqref="C15"/>
    </sheetView>
  </sheetViews>
  <sheetFormatPr defaultRowHeight="15"/>
  <cols>
    <col min="1" max="1" width="10.42578125" style="13" customWidth="1"/>
    <col min="2" max="2" width="32" style="13" customWidth="1"/>
    <col min="3" max="3" width="23" style="13" customWidth="1"/>
    <col min="4" max="4" width="4.5703125" style="13" customWidth="1"/>
    <col min="5" max="5" width="32.42578125" style="13" customWidth="1"/>
    <col min="6" max="6" width="20.28515625" style="13" customWidth="1"/>
    <col min="7" max="7" width="2.5703125" style="13" customWidth="1"/>
    <col min="8" max="8" width="1.7109375" style="13" customWidth="1"/>
    <col min="9" max="9" width="39.85546875" style="13" customWidth="1"/>
    <col min="10" max="10" width="16.5703125" style="13" customWidth="1"/>
    <col min="11" max="11" width="3" style="13" customWidth="1"/>
    <col min="12" max="12" width="11" style="13" customWidth="1"/>
    <col min="13" max="13" width="29.42578125" style="13" customWidth="1"/>
    <col min="14" max="28" width="4.5703125" style="13" bestFit="1" customWidth="1"/>
    <col min="29" max="16384" width="9.140625" style="13"/>
  </cols>
  <sheetData>
    <row r="1" spans="2:28" ht="20.25">
      <c r="B1" s="12" t="s">
        <v>24</v>
      </c>
      <c r="D1" s="14"/>
      <c r="E1" s="15"/>
      <c r="F1" s="14"/>
      <c r="M1" s="12" t="s">
        <v>24</v>
      </c>
      <c r="O1" s="14"/>
      <c r="P1" s="15"/>
      <c r="Q1" s="14"/>
    </row>
    <row r="2" spans="2:28" ht="20.25">
      <c r="B2" s="16" t="s">
        <v>84</v>
      </c>
      <c r="D2" s="17"/>
      <c r="E2" s="18"/>
      <c r="F2" s="17"/>
      <c r="M2" s="16" t="s">
        <v>84</v>
      </c>
      <c r="O2" s="17"/>
      <c r="P2" s="18"/>
      <c r="Q2" s="17"/>
    </row>
    <row r="3" spans="2:28" ht="18">
      <c r="B3" s="19" t="s">
        <v>25</v>
      </c>
      <c r="C3" s="20"/>
      <c r="D3" s="20"/>
      <c r="E3" s="21"/>
      <c r="F3" s="20"/>
      <c r="G3" s="22"/>
      <c r="H3" s="22"/>
      <c r="I3" s="22"/>
      <c r="J3" s="22"/>
      <c r="M3" s="19" t="s">
        <v>25</v>
      </c>
      <c r="N3" s="20"/>
      <c r="O3" s="20"/>
      <c r="P3" s="21"/>
      <c r="Q3" s="20"/>
      <c r="R3" s="22"/>
      <c r="S3" s="22"/>
      <c r="T3" s="22"/>
      <c r="U3" s="22"/>
    </row>
    <row r="4" spans="2:28" ht="6" customHeight="1" thickBot="1">
      <c r="B4" s="23"/>
      <c r="C4" s="24"/>
      <c r="D4" s="24"/>
      <c r="E4" s="25"/>
      <c r="F4" s="24"/>
      <c r="G4" s="26"/>
      <c r="H4" s="26"/>
      <c r="I4" s="26"/>
      <c r="J4" s="26"/>
    </row>
    <row r="5" spans="2:28" ht="32.25" customHeight="1">
      <c r="B5" s="161" t="s">
        <v>38</v>
      </c>
      <c r="C5" s="162"/>
      <c r="D5" s="159" t="s">
        <v>85</v>
      </c>
      <c r="E5" s="159"/>
      <c r="F5" s="159"/>
      <c r="G5" s="159"/>
      <c r="H5" s="159"/>
      <c r="I5" s="159"/>
      <c r="J5" s="159"/>
    </row>
    <row r="6" spans="2:28" ht="21.75" customHeight="1">
      <c r="B6" s="163"/>
      <c r="C6" s="164"/>
      <c r="D6" s="39"/>
      <c r="E6" s="39"/>
      <c r="F6" s="39"/>
      <c r="G6" s="39"/>
      <c r="H6" s="39"/>
      <c r="I6" s="39"/>
      <c r="J6" s="39"/>
      <c r="M6" s="149" t="s">
        <v>64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2:28" ht="19.5" thickBot="1">
      <c r="B7" s="165"/>
      <c r="C7" s="166"/>
      <c r="D7" s="160" t="s">
        <v>26</v>
      </c>
      <c r="E7" s="160"/>
      <c r="F7" s="160"/>
      <c r="G7" s="160"/>
      <c r="H7" s="160"/>
      <c r="I7" s="160"/>
      <c r="J7" s="160"/>
      <c r="M7" s="181" t="s">
        <v>72</v>
      </c>
      <c r="N7" s="184" t="s">
        <v>73</v>
      </c>
      <c r="O7" s="175" t="s">
        <v>66</v>
      </c>
      <c r="P7" s="178" t="s">
        <v>67</v>
      </c>
      <c r="Q7" s="175" t="s">
        <v>69</v>
      </c>
      <c r="R7" s="175" t="s">
        <v>70</v>
      </c>
      <c r="S7" s="175" t="s">
        <v>68</v>
      </c>
      <c r="T7" s="178" t="s">
        <v>71</v>
      </c>
      <c r="U7" s="178" t="s">
        <v>55</v>
      </c>
      <c r="V7" s="175" t="s">
        <v>54</v>
      </c>
      <c r="W7" s="175" t="s">
        <v>57</v>
      </c>
      <c r="X7" s="175" t="s">
        <v>60</v>
      </c>
      <c r="Y7" s="175" t="s">
        <v>55</v>
      </c>
      <c r="Z7" s="175" t="s">
        <v>59</v>
      </c>
      <c r="AA7" s="175" t="s">
        <v>56</v>
      </c>
      <c r="AB7" s="172" t="s">
        <v>58</v>
      </c>
    </row>
    <row r="8" spans="2:28" ht="24.75" customHeight="1" thickBot="1">
      <c r="M8" s="182"/>
      <c r="N8" s="185"/>
      <c r="O8" s="176"/>
      <c r="P8" s="179"/>
      <c r="Q8" s="176"/>
      <c r="R8" s="176"/>
      <c r="S8" s="176"/>
      <c r="T8" s="179"/>
      <c r="U8" s="179"/>
      <c r="V8" s="176"/>
      <c r="W8" s="176"/>
      <c r="X8" s="176"/>
      <c r="Y8" s="176"/>
      <c r="Z8" s="176"/>
      <c r="AA8" s="176"/>
      <c r="AB8" s="173"/>
    </row>
    <row r="9" spans="2:28" s="27" customFormat="1" ht="28.5" customHeight="1" thickBot="1">
      <c r="B9" s="167"/>
      <c r="C9" s="168"/>
      <c r="E9" s="167"/>
      <c r="F9" s="168"/>
      <c r="H9" s="169" t="s">
        <v>23</v>
      </c>
      <c r="I9" s="170"/>
      <c r="J9" s="171"/>
      <c r="M9" s="182"/>
      <c r="N9" s="185"/>
      <c r="O9" s="176"/>
      <c r="P9" s="179"/>
      <c r="Q9" s="176"/>
      <c r="R9" s="176"/>
      <c r="S9" s="176"/>
      <c r="T9" s="179"/>
      <c r="U9" s="179"/>
      <c r="V9" s="176"/>
      <c r="W9" s="176"/>
      <c r="X9" s="176"/>
      <c r="Y9" s="176"/>
      <c r="Z9" s="176"/>
      <c r="AA9" s="176"/>
      <c r="AB9" s="173"/>
    </row>
    <row r="10" spans="2:28" ht="8.25" customHeight="1">
      <c r="B10" s="46"/>
      <c r="C10" s="47"/>
      <c r="E10" s="46"/>
      <c r="F10" s="47"/>
      <c r="H10" s="76"/>
      <c r="I10" s="77"/>
      <c r="J10" s="78"/>
      <c r="M10" s="182"/>
      <c r="N10" s="185"/>
      <c r="O10" s="176"/>
      <c r="P10" s="179"/>
      <c r="Q10" s="176"/>
      <c r="R10" s="176"/>
      <c r="S10" s="176"/>
      <c r="T10" s="179"/>
      <c r="U10" s="179"/>
      <c r="V10" s="176"/>
      <c r="W10" s="176"/>
      <c r="X10" s="176"/>
      <c r="Y10" s="176"/>
      <c r="Z10" s="176"/>
      <c r="AA10" s="176"/>
      <c r="AB10" s="173"/>
    </row>
    <row r="11" spans="2:28" ht="20.25" customHeight="1">
      <c r="B11" s="51" t="s">
        <v>16</v>
      </c>
      <c r="C11" s="52" t="s">
        <v>30</v>
      </c>
      <c r="E11" s="51" t="s">
        <v>16</v>
      </c>
      <c r="F11" s="52" t="s">
        <v>29</v>
      </c>
      <c r="H11" s="79"/>
      <c r="I11" s="80"/>
      <c r="J11" s="81"/>
      <c r="M11" s="182"/>
      <c r="N11" s="185"/>
      <c r="O11" s="176"/>
      <c r="P11" s="179"/>
      <c r="Q11" s="176"/>
      <c r="R11" s="176"/>
      <c r="S11" s="176"/>
      <c r="T11" s="179"/>
      <c r="U11" s="179"/>
      <c r="V11" s="176"/>
      <c r="W11" s="176"/>
      <c r="X11" s="176"/>
      <c r="Y11" s="176"/>
      <c r="Z11" s="176"/>
      <c r="AA11" s="176"/>
      <c r="AB11" s="173"/>
    </row>
    <row r="12" spans="2:28" ht="20.25" customHeight="1">
      <c r="B12" s="51" t="s">
        <v>80</v>
      </c>
      <c r="C12" s="154" t="s">
        <v>75</v>
      </c>
      <c r="E12" s="51" t="s">
        <v>80</v>
      </c>
      <c r="F12" s="154" t="s">
        <v>77</v>
      </c>
      <c r="H12" s="79"/>
      <c r="I12" s="82"/>
      <c r="J12" s="81"/>
      <c r="M12" s="182"/>
      <c r="N12" s="185"/>
      <c r="O12" s="176"/>
      <c r="P12" s="179"/>
      <c r="Q12" s="176"/>
      <c r="R12" s="176"/>
      <c r="S12" s="176"/>
      <c r="T12" s="179"/>
      <c r="U12" s="179"/>
      <c r="V12" s="176"/>
      <c r="W12" s="176"/>
      <c r="X12" s="176"/>
      <c r="Y12" s="176"/>
      <c r="Z12" s="176"/>
      <c r="AA12" s="176"/>
      <c r="AB12" s="173"/>
    </row>
    <row r="13" spans="2:28" ht="20.25" customHeight="1" thickBot="1">
      <c r="B13" s="51" t="s">
        <v>0</v>
      </c>
      <c r="C13" s="155">
        <v>17.5</v>
      </c>
      <c r="E13" s="51" t="s">
        <v>0</v>
      </c>
      <c r="F13" s="53">
        <v>25.54</v>
      </c>
      <c r="H13" s="76"/>
      <c r="I13" s="82" t="s">
        <v>47</v>
      </c>
      <c r="J13" s="83">
        <f>F13-C13</f>
        <v>8.0399999999999991</v>
      </c>
      <c r="M13" s="183"/>
      <c r="N13" s="186"/>
      <c r="O13" s="177"/>
      <c r="P13" s="180"/>
      <c r="Q13" s="177"/>
      <c r="R13" s="177"/>
      <c r="S13" s="177"/>
      <c r="T13" s="180"/>
      <c r="U13" s="180"/>
      <c r="V13" s="177"/>
      <c r="W13" s="177"/>
      <c r="X13" s="177"/>
      <c r="Y13" s="177"/>
      <c r="Z13" s="177"/>
      <c r="AA13" s="177"/>
      <c r="AB13" s="174"/>
    </row>
    <row r="14" spans="2:28" ht="20.25" customHeight="1">
      <c r="B14" s="51" t="s">
        <v>17</v>
      </c>
      <c r="C14" s="54">
        <v>1</v>
      </c>
      <c r="E14" s="51" t="s">
        <v>17</v>
      </c>
      <c r="F14" s="54">
        <v>1</v>
      </c>
      <c r="H14" s="79"/>
      <c r="I14" s="80"/>
      <c r="J14" s="84"/>
      <c r="M14" s="147" t="s">
        <v>52</v>
      </c>
      <c r="N14" s="128" t="s">
        <v>65</v>
      </c>
      <c r="O14" s="129" t="s">
        <v>65</v>
      </c>
      <c r="P14" s="130" t="s">
        <v>65</v>
      </c>
      <c r="Q14" s="129" t="s">
        <v>65</v>
      </c>
      <c r="R14" s="129" t="s">
        <v>65</v>
      </c>
      <c r="S14" s="131" t="s">
        <v>65</v>
      </c>
      <c r="T14" s="132"/>
      <c r="U14" s="129"/>
      <c r="V14" s="129"/>
      <c r="W14" s="129"/>
      <c r="X14" s="129"/>
      <c r="Y14" s="129"/>
      <c r="Z14" s="129"/>
      <c r="AA14" s="129"/>
      <c r="AB14" s="133"/>
    </row>
    <row r="15" spans="2:28" s="28" customFormat="1" ht="20.25" customHeight="1">
      <c r="B15" s="111" t="s">
        <v>6</v>
      </c>
      <c r="C15" s="112">
        <v>2080</v>
      </c>
      <c r="E15" s="111" t="s">
        <v>6</v>
      </c>
      <c r="F15" s="112">
        <v>2080</v>
      </c>
      <c r="H15" s="85"/>
      <c r="I15" s="114" t="s">
        <v>48</v>
      </c>
      <c r="J15" s="117">
        <f>F15-C15</f>
        <v>0</v>
      </c>
      <c r="M15" s="148" t="s">
        <v>39</v>
      </c>
      <c r="N15" s="134" t="s">
        <v>65</v>
      </c>
      <c r="O15" s="135" t="s">
        <v>65</v>
      </c>
      <c r="P15" s="136" t="s">
        <v>65</v>
      </c>
      <c r="Q15" s="135"/>
      <c r="R15" s="135"/>
      <c r="S15" s="137"/>
      <c r="T15" s="138"/>
      <c r="U15" s="135"/>
      <c r="V15" s="135"/>
      <c r="W15" s="135"/>
      <c r="X15" s="135"/>
      <c r="Y15" s="135"/>
      <c r="Z15" s="135"/>
      <c r="AA15" s="135"/>
      <c r="AB15" s="139"/>
    </row>
    <row r="16" spans="2:28" s="30" customFormat="1" ht="20.25" customHeight="1">
      <c r="B16" s="113" t="s">
        <v>5</v>
      </c>
      <c r="C16" s="158">
        <f>C15/26</f>
        <v>80</v>
      </c>
      <c r="D16" s="29"/>
      <c r="E16" s="113" t="s">
        <v>5</v>
      </c>
      <c r="F16" s="158">
        <f>F15/26</f>
        <v>80</v>
      </c>
      <c r="G16" s="29"/>
      <c r="H16" s="86"/>
      <c r="I16" s="115" t="s">
        <v>49</v>
      </c>
      <c r="J16" s="116">
        <f>J15/26</f>
        <v>0</v>
      </c>
      <c r="M16" s="140" t="s">
        <v>41</v>
      </c>
      <c r="N16" s="140" t="s">
        <v>65</v>
      </c>
      <c r="O16" s="141" t="s">
        <v>65</v>
      </c>
      <c r="P16" s="142" t="s">
        <v>65</v>
      </c>
      <c r="Q16" s="141"/>
      <c r="R16" s="141"/>
      <c r="S16" s="143"/>
      <c r="T16" s="144" t="s">
        <v>65</v>
      </c>
      <c r="U16" s="145"/>
      <c r="V16" s="145"/>
      <c r="W16" s="145"/>
      <c r="X16" s="145"/>
      <c r="Y16" s="145"/>
      <c r="Z16" s="145"/>
      <c r="AA16" s="145"/>
      <c r="AB16" s="146"/>
    </row>
    <row r="17" spans="2:28" s="34" customFormat="1" ht="22.5" customHeight="1">
      <c r="B17" s="55" t="s">
        <v>35</v>
      </c>
      <c r="C17" s="56"/>
      <c r="D17" s="35"/>
      <c r="E17" s="55" t="s">
        <v>35</v>
      </c>
      <c r="F17" s="56"/>
      <c r="G17" s="35"/>
      <c r="H17" s="87" t="s">
        <v>36</v>
      </c>
      <c r="I17" s="88"/>
      <c r="J17" s="89"/>
      <c r="M17" s="148" t="s">
        <v>61</v>
      </c>
      <c r="N17" s="134" t="s">
        <v>65</v>
      </c>
      <c r="O17" s="135" t="s">
        <v>65</v>
      </c>
      <c r="P17" s="136" t="s">
        <v>65</v>
      </c>
      <c r="Q17" s="135"/>
      <c r="R17" s="135"/>
      <c r="S17" s="137"/>
      <c r="T17" s="138" t="s">
        <v>65</v>
      </c>
      <c r="U17" s="135" t="s">
        <v>65</v>
      </c>
      <c r="V17" s="135" t="s">
        <v>65</v>
      </c>
      <c r="W17" s="135" t="s">
        <v>65</v>
      </c>
      <c r="X17" s="135" t="s">
        <v>65</v>
      </c>
      <c r="Y17" s="135" t="s">
        <v>65</v>
      </c>
      <c r="Z17" s="135" t="s">
        <v>65</v>
      </c>
      <c r="AA17" s="135" t="s">
        <v>65</v>
      </c>
      <c r="AB17" s="139" t="s">
        <v>65</v>
      </c>
    </row>
    <row r="18" spans="2:28" s="28" customFormat="1" ht="22.5" customHeight="1">
      <c r="B18" s="57" t="s">
        <v>33</v>
      </c>
      <c r="C18" s="58">
        <f>(C13*C15)/26</f>
        <v>1400</v>
      </c>
      <c r="D18" s="36"/>
      <c r="E18" s="61" t="s">
        <v>33</v>
      </c>
      <c r="F18" s="58">
        <f>(F13*F15)/26</f>
        <v>2043.1999999999998</v>
      </c>
      <c r="G18" s="36"/>
      <c r="H18" s="90"/>
      <c r="I18" s="91" t="s">
        <v>50</v>
      </c>
      <c r="J18" s="92">
        <f>F18-C18</f>
        <v>643.19999999999982</v>
      </c>
      <c r="M18" s="148" t="s">
        <v>40</v>
      </c>
      <c r="N18" s="134" t="s">
        <v>65</v>
      </c>
      <c r="O18" s="135" t="s">
        <v>65</v>
      </c>
      <c r="P18" s="136" t="s">
        <v>65</v>
      </c>
      <c r="Q18" s="135"/>
      <c r="R18" s="135"/>
      <c r="S18" s="137"/>
      <c r="T18" s="138" t="s">
        <v>65</v>
      </c>
      <c r="U18" s="135" t="s">
        <v>65</v>
      </c>
      <c r="V18" s="135" t="s">
        <v>65</v>
      </c>
      <c r="W18" s="135" t="s">
        <v>65</v>
      </c>
      <c r="X18" s="135" t="s">
        <v>65</v>
      </c>
      <c r="Y18" s="135" t="s">
        <v>65</v>
      </c>
      <c r="Z18" s="135" t="s">
        <v>65</v>
      </c>
      <c r="AA18" s="135" t="s">
        <v>65</v>
      </c>
      <c r="AB18" s="139" t="s">
        <v>65</v>
      </c>
    </row>
    <row r="19" spans="2:28" ht="15" customHeight="1">
      <c r="B19" s="46"/>
      <c r="C19" s="59"/>
      <c r="D19" s="33"/>
      <c r="E19" s="62"/>
      <c r="F19" s="59"/>
      <c r="G19" s="33"/>
      <c r="H19" s="93"/>
      <c r="I19" s="94"/>
      <c r="J19" s="95"/>
    </row>
    <row r="20" spans="2:28" ht="15" customHeight="1">
      <c r="B20" s="60" t="s">
        <v>2</v>
      </c>
      <c r="C20" s="150">
        <f>(HLOOKUP(C$11,'FY21-22 Benefit Rates'!$B$2:$F$19,2,FALSE))*C$18</f>
        <v>2.94</v>
      </c>
      <c r="D20" s="152"/>
      <c r="E20" s="63" t="s">
        <v>2</v>
      </c>
      <c r="F20" s="150">
        <f>(HLOOKUP(F$11,'FY21-22 Benefit Rates'!$B$2:$F$19,2,FALSE))*F$18</f>
        <v>4.2907199999999994</v>
      </c>
      <c r="G20" s="33"/>
      <c r="H20" s="93"/>
      <c r="I20" s="91" t="s">
        <v>2</v>
      </c>
      <c r="J20" s="92">
        <f t="shared" ref="J20:J31" si="0">F20-C20</f>
        <v>1.3507199999999995</v>
      </c>
    </row>
    <row r="21" spans="2:28" ht="15" customHeight="1">
      <c r="B21" s="60" t="s">
        <v>3</v>
      </c>
      <c r="C21" s="150">
        <f>(HLOOKUP(C$11,'FY21-22 Benefit Rates'!$B$2:$F$19,3,FALSE))*C$18</f>
        <v>86.8</v>
      </c>
      <c r="D21" s="152"/>
      <c r="E21" s="63" t="s">
        <v>3</v>
      </c>
      <c r="F21" s="150">
        <f>(HLOOKUP(F$11,'FY21-22 Benefit Rates'!$B$2:$F$19,3,FALSE))*F$18</f>
        <v>126.67839999999998</v>
      </c>
      <c r="G21" s="33"/>
      <c r="H21" s="93"/>
      <c r="I21" s="91" t="s">
        <v>3</v>
      </c>
      <c r="J21" s="92">
        <f t="shared" si="0"/>
        <v>39.878399999999985</v>
      </c>
    </row>
    <row r="22" spans="2:28" ht="15" customHeight="1">
      <c r="B22" s="60" t="s">
        <v>4</v>
      </c>
      <c r="C22" s="150">
        <f>(HLOOKUP(C$11,'FY21-22 Benefit Rates'!$B$2:$F$19,4,FALSE))*C$18</f>
        <v>20.3</v>
      </c>
      <c r="D22" s="152"/>
      <c r="E22" s="63" t="s">
        <v>4</v>
      </c>
      <c r="F22" s="150">
        <f>(HLOOKUP(F$11,'FY21-22 Benefit Rates'!$B$2:$F$19,4,FALSE))*F$18</f>
        <v>29.6264</v>
      </c>
      <c r="G22" s="33"/>
      <c r="H22" s="93"/>
      <c r="I22" s="91" t="s">
        <v>4</v>
      </c>
      <c r="J22" s="92">
        <f t="shared" si="0"/>
        <v>9.3263999999999996</v>
      </c>
    </row>
    <row r="23" spans="2:28" ht="15" customHeight="1">
      <c r="B23" s="60" t="s">
        <v>8</v>
      </c>
      <c r="C23" s="150">
        <f>C18*0.28373</f>
        <v>397.22199999999998</v>
      </c>
      <c r="D23" s="152"/>
      <c r="E23" s="63" t="s">
        <v>8</v>
      </c>
      <c r="F23" s="150">
        <f>F18*0.28373</f>
        <v>579.71713599999987</v>
      </c>
      <c r="G23" s="33"/>
      <c r="H23" s="93"/>
      <c r="I23" s="91" t="s">
        <v>8</v>
      </c>
      <c r="J23" s="92">
        <f t="shared" si="0"/>
        <v>182.49513599999989</v>
      </c>
    </row>
    <row r="24" spans="2:28" ht="15" customHeight="1">
      <c r="B24" s="60" t="s">
        <v>9</v>
      </c>
      <c r="C24" s="150">
        <f>(HLOOKUP(C$11,'FY21-22 Benefit Rates'!$B$2:$F$19,11,FALSE))*C$18</f>
        <v>0</v>
      </c>
      <c r="D24" s="152"/>
      <c r="E24" s="63" t="s">
        <v>9</v>
      </c>
      <c r="F24" s="150">
        <f>(HLOOKUP(F$11,'FY21-22 Benefit Rates'!$B$2:$F$19,11,FALSE))*F$18</f>
        <v>12.340928</v>
      </c>
      <c r="G24" s="33"/>
      <c r="H24" s="93"/>
      <c r="I24" s="91" t="s">
        <v>9</v>
      </c>
      <c r="J24" s="92">
        <f t="shared" si="0"/>
        <v>12.340928</v>
      </c>
    </row>
    <row r="25" spans="2:28" ht="15" customHeight="1">
      <c r="B25" s="60" t="s">
        <v>10</v>
      </c>
      <c r="C25" s="150">
        <f>(HLOOKUP(C$11,'FY21-22 Benefit Rates'!$B$2:$F$19,12,FALSE))*C$18</f>
        <v>20.720000000000002</v>
      </c>
      <c r="D25" s="152"/>
      <c r="E25" s="63" t="s">
        <v>10</v>
      </c>
      <c r="F25" s="150">
        <f>(HLOOKUP(F$11,'FY21-22 Benefit Rates'!$B$2:$F$19,12,FALSE))*F$18</f>
        <v>0</v>
      </c>
      <c r="G25" s="33"/>
      <c r="H25" s="93"/>
      <c r="I25" s="91" t="s">
        <v>10</v>
      </c>
      <c r="J25" s="92">
        <f t="shared" si="0"/>
        <v>-20.720000000000002</v>
      </c>
    </row>
    <row r="26" spans="2:28">
      <c r="B26" s="60" t="s">
        <v>81</v>
      </c>
      <c r="C26" s="150">
        <f>(VLOOKUP(C$12,'FY21-22 Benefit Rates'!$A$6:$B$11,2,FALSE))*C14</f>
        <v>436.5</v>
      </c>
      <c r="D26" s="152"/>
      <c r="E26" s="63" t="s">
        <v>1</v>
      </c>
      <c r="F26" s="150">
        <f>(VLOOKUP(F$12,'FY21-22 Benefit Rates'!$A$6:$B$11,2,FALSE))*F14</f>
        <v>411.5</v>
      </c>
      <c r="G26" s="33"/>
      <c r="H26" s="93"/>
      <c r="I26" s="91" t="s">
        <v>1</v>
      </c>
      <c r="J26" s="92">
        <f t="shared" si="0"/>
        <v>-25</v>
      </c>
    </row>
    <row r="27" spans="2:28">
      <c r="B27" s="60" t="s">
        <v>82</v>
      </c>
      <c r="C27" s="150">
        <f>(HLOOKUP(C$11,'FY21-22 Benefit Rates'!$B$2:$F$19,18,FALSE))</f>
        <v>1.4364387307692306</v>
      </c>
      <c r="D27" s="152"/>
      <c r="E27" s="63"/>
      <c r="F27" s="150">
        <f>(HLOOKUP(F$11,'FY21-22 Benefit Rates'!$B$2:$F$19,18,FALSE))</f>
        <v>1.4364387307692306</v>
      </c>
      <c r="G27" s="33"/>
      <c r="H27" s="93"/>
      <c r="I27" s="91"/>
      <c r="J27" s="92"/>
    </row>
    <row r="28" spans="2:28">
      <c r="B28" s="60" t="s">
        <v>12</v>
      </c>
      <c r="C28" s="150">
        <f>(HLOOKUP(C$11,'FY21-22 Benefit Rates'!$B$2:$F$19,14,FALSE))*C14</f>
        <v>1.33</v>
      </c>
      <c r="D28" s="152"/>
      <c r="E28" s="63" t="s">
        <v>12</v>
      </c>
      <c r="F28" s="150">
        <f>(HLOOKUP(F$11,'FY21-22 Benefit Rates'!$B$2:$F$19,14,FALSE))*F14</f>
        <v>2.2799999999999998</v>
      </c>
      <c r="G28" s="33"/>
      <c r="H28" s="93"/>
      <c r="I28" s="91" t="s">
        <v>12</v>
      </c>
      <c r="J28" s="92">
        <f t="shared" si="0"/>
        <v>0.94999999999999973</v>
      </c>
    </row>
    <row r="29" spans="2:28">
      <c r="B29" s="60" t="s">
        <v>13</v>
      </c>
      <c r="C29" s="150">
        <f>(HLOOKUP(C$11,'FY21-22 Benefit Rates'!$B$2:$F$19,15,FALSE))*C14</f>
        <v>0</v>
      </c>
      <c r="D29" s="152"/>
      <c r="E29" s="63" t="s">
        <v>13</v>
      </c>
      <c r="F29" s="150">
        <f>(HLOOKUP(F$11,'FY21-22 Benefit Rates'!$B$2:$F$19,15,FALSE))*F14</f>
        <v>0</v>
      </c>
      <c r="G29" s="33"/>
      <c r="H29" s="93"/>
      <c r="I29" s="91" t="s">
        <v>13</v>
      </c>
      <c r="J29" s="92">
        <f t="shared" si="0"/>
        <v>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2:28">
      <c r="B30" s="60" t="s">
        <v>14</v>
      </c>
      <c r="C30" s="150">
        <f>(HLOOKUP(C$11,'FY21-22 Benefit Rates'!$B$2:$F$19,16,FALSE))</f>
        <v>0.11</v>
      </c>
      <c r="D30" s="152"/>
      <c r="E30" s="63" t="s">
        <v>14</v>
      </c>
      <c r="F30" s="150">
        <f>(HLOOKUP(F$11,'FY21-22 Benefit Rates'!$B$2:$F$19,16,FALSE))</f>
        <v>0.11</v>
      </c>
      <c r="G30" s="33"/>
      <c r="H30" s="93"/>
      <c r="I30" s="91" t="s">
        <v>14</v>
      </c>
      <c r="J30" s="92">
        <f t="shared" si="0"/>
        <v>0</v>
      </c>
    </row>
    <row r="31" spans="2:28">
      <c r="B31" s="60" t="s">
        <v>15</v>
      </c>
      <c r="C31" s="151">
        <f>(HLOOKUP(C$11,'FY21-22 Benefit Rates'!$B$2:$F$19,17,FALSE))</f>
        <v>0</v>
      </c>
      <c r="D31" s="152"/>
      <c r="E31" s="63" t="s">
        <v>15</v>
      </c>
      <c r="F31" s="151">
        <f>(HLOOKUP(F$11,'FY21-22 Benefit Rates'!$B$2:$F$19,17,FALSE))</f>
        <v>0</v>
      </c>
      <c r="G31" s="33"/>
      <c r="H31" s="93"/>
      <c r="I31" s="91" t="s">
        <v>15</v>
      </c>
      <c r="J31" s="96">
        <f t="shared" si="0"/>
        <v>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2:28" s="28" customFormat="1">
      <c r="B32" s="64" t="s">
        <v>34</v>
      </c>
      <c r="C32" s="65">
        <f>SUM(C20:C31)</f>
        <v>967.35843873076931</v>
      </c>
      <c r="D32" s="66"/>
      <c r="E32" s="67" t="s">
        <v>34</v>
      </c>
      <c r="F32" s="65">
        <f>SUM(F20:F31)</f>
        <v>1167.9800227307687</v>
      </c>
      <c r="G32" s="66"/>
      <c r="H32" s="97"/>
      <c r="I32" s="91" t="s">
        <v>45</v>
      </c>
      <c r="J32" s="98">
        <f>SUM(J20:J31)</f>
        <v>200.62158399999987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2:28" ht="6" customHeight="1">
      <c r="B33" s="69"/>
      <c r="C33" s="70"/>
      <c r="D33" s="66"/>
      <c r="E33" s="68"/>
      <c r="F33" s="70"/>
      <c r="G33" s="66"/>
      <c r="H33" s="97"/>
      <c r="I33" s="99"/>
      <c r="J33" s="9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2:28" s="28" customFormat="1" ht="25.5" customHeight="1" thickBot="1">
      <c r="B34" s="71" t="s">
        <v>7</v>
      </c>
      <c r="C34" s="72">
        <f>C18+C32</f>
        <v>2367.3584387307692</v>
      </c>
      <c r="D34" s="66"/>
      <c r="E34" s="73" t="s">
        <v>7</v>
      </c>
      <c r="F34" s="72">
        <f>F18+F32</f>
        <v>3211.1800227307685</v>
      </c>
      <c r="G34" s="66"/>
      <c r="H34" s="100"/>
      <c r="I34" s="101" t="s">
        <v>46</v>
      </c>
      <c r="J34" s="102">
        <f>J18+J32</f>
        <v>843.82158399999969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2:28" ht="8.25" customHeight="1">
      <c r="B35" s="42"/>
      <c r="C35" s="43"/>
      <c r="D35" s="31"/>
      <c r="E35" s="50"/>
      <c r="F35" s="43"/>
      <c r="G35" s="31"/>
      <c r="H35" s="110"/>
      <c r="I35" s="108"/>
      <c r="J35" s="10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2:28" s="37" customFormat="1" ht="26.25" customHeight="1" thickBot="1">
      <c r="B36" s="44" t="s">
        <v>37</v>
      </c>
      <c r="C36" s="45">
        <f>(C34*24)+(SUM(C34-C26)*2)</f>
        <v>60678.319407000003</v>
      </c>
      <c r="D36" s="38"/>
      <c r="E36" s="44" t="s">
        <v>37</v>
      </c>
      <c r="F36" s="45">
        <f>(F34*24)+(SUM(F34-F26)*2)</f>
        <v>82667.680590999982</v>
      </c>
      <c r="G36" s="38"/>
      <c r="H36" s="103"/>
      <c r="I36" s="120" t="s">
        <v>51</v>
      </c>
      <c r="J36" s="121">
        <f>+F36-C36</f>
        <v>21989.361183999979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2:28" ht="8.25" customHeight="1" thickTop="1">
      <c r="B37" s="46"/>
      <c r="C37" s="47"/>
      <c r="E37" s="46"/>
      <c r="F37" s="47"/>
      <c r="H37" s="76"/>
      <c r="I37" s="122"/>
      <c r="J37" s="123"/>
    </row>
    <row r="38" spans="2:28" s="40" customFormat="1" ht="20.25" customHeight="1">
      <c r="B38" s="48" t="s">
        <v>52</v>
      </c>
      <c r="C38" s="74">
        <f>C36/C15</f>
        <v>29.172268945673078</v>
      </c>
      <c r="E38" s="48" t="s">
        <v>52</v>
      </c>
      <c r="F38" s="74">
        <f>F36/F15</f>
        <v>39.744077207211532</v>
      </c>
      <c r="H38" s="104"/>
      <c r="I38" s="124" t="s">
        <v>53</v>
      </c>
      <c r="J38" s="125">
        <f t="shared" ref="J38:J42" si="1">+F38-C38</f>
        <v>10.571808261538454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2:28" s="41" customFormat="1" ht="18.75">
      <c r="B39" s="48" t="s">
        <v>39</v>
      </c>
      <c r="C39" s="74">
        <f>C36/(((2080*C14))-264*C14)</f>
        <v>33.413171479625554</v>
      </c>
      <c r="E39" s="48" t="s">
        <v>39</v>
      </c>
      <c r="F39" s="74">
        <f>F36/(((2080*F14))-264*F14)</f>
        <v>45.521850545704837</v>
      </c>
      <c r="H39" s="105"/>
      <c r="I39" s="124" t="s">
        <v>42</v>
      </c>
      <c r="J39" s="125">
        <f t="shared" si="1"/>
        <v>12.108679066079283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2:28" ht="18.75">
      <c r="B40" s="48" t="s">
        <v>41</v>
      </c>
      <c r="C40" s="74">
        <f>(C36+C36*0.28)/(((2080*C14))-264*C14)</f>
        <v>42.768859493920708</v>
      </c>
      <c r="D40" s="32"/>
      <c r="E40" s="48" t="s">
        <v>41</v>
      </c>
      <c r="F40" s="74">
        <f>(F36+F36*0.28)/(((2080*F14))-264*F14)</f>
        <v>58.267968698502195</v>
      </c>
      <c r="G40" s="32"/>
      <c r="H40" s="106"/>
      <c r="I40" s="124" t="s">
        <v>43</v>
      </c>
      <c r="J40" s="125">
        <f t="shared" si="1"/>
        <v>15.499109204581487</v>
      </c>
    </row>
    <row r="41" spans="2:28" ht="18.75">
      <c r="B41" s="48" t="s">
        <v>61</v>
      </c>
      <c r="C41" s="74">
        <f>((C36+'FY21-22 Benefit Rates'!B32)+((C36+'FY21-22 Benefit Rates'!B32)*0.28))/(((2080*C14))-264*C14)</f>
        <v>45.956855969691631</v>
      </c>
      <c r="D41" s="32"/>
      <c r="E41" s="48" t="s">
        <v>61</v>
      </c>
      <c r="F41" s="74">
        <f>((F36+'FY21-22 Benefit Rates'!E32)+((F36+'FY21-22 Benefit Rates'!E32)*0.28))/(((2080*F14))-264*F14)</f>
        <v>58.267968698502195</v>
      </c>
      <c r="G41" s="32"/>
      <c r="H41" s="106"/>
      <c r="I41" s="124" t="s">
        <v>62</v>
      </c>
      <c r="J41" s="125">
        <f t="shared" si="1"/>
        <v>12.311112728810564</v>
      </c>
    </row>
    <row r="42" spans="2:28" ht="19.5" thickBot="1">
      <c r="B42" s="49" t="s">
        <v>40</v>
      </c>
      <c r="C42" s="75">
        <f>ROUNDUP(C41,-0.5)</f>
        <v>46</v>
      </c>
      <c r="E42" s="49" t="s">
        <v>40</v>
      </c>
      <c r="F42" s="75">
        <f>ROUNDUP(F41,-0.5)</f>
        <v>59</v>
      </c>
      <c r="H42" s="107"/>
      <c r="I42" s="127" t="s">
        <v>44</v>
      </c>
      <c r="J42" s="126">
        <f t="shared" si="1"/>
        <v>13</v>
      </c>
    </row>
    <row r="47" spans="2:28">
      <c r="C47" s="153"/>
    </row>
  </sheetData>
  <sheetProtection selectLockedCells="1"/>
  <mergeCells count="22">
    <mergeCell ref="M7:M13"/>
    <mergeCell ref="X7:X13"/>
    <mergeCell ref="Y7:Y13"/>
    <mergeCell ref="Z7:Z13"/>
    <mergeCell ref="AA7:AA13"/>
    <mergeCell ref="N7:N13"/>
    <mergeCell ref="O7:O13"/>
    <mergeCell ref="P7:P13"/>
    <mergeCell ref="Q7:Q13"/>
    <mergeCell ref="R7:R13"/>
    <mergeCell ref="AB7:AB13"/>
    <mergeCell ref="S7:S13"/>
    <mergeCell ref="T7:T13"/>
    <mergeCell ref="U7:U13"/>
    <mergeCell ref="V7:V13"/>
    <mergeCell ref="W7:W13"/>
    <mergeCell ref="D5:J5"/>
    <mergeCell ref="D7:J7"/>
    <mergeCell ref="B5:C7"/>
    <mergeCell ref="B9:C9"/>
    <mergeCell ref="E9:F9"/>
    <mergeCell ref="H9:J9"/>
  </mergeCells>
  <dataValidations disablePrompts="1" count="2">
    <dataValidation type="list" allowBlank="1" showInputMessage="1" showErrorMessage="1" sqref="C11 F11" xr:uid="{00000000-0002-0000-0000-000000000000}">
      <formula1>"PKGen,PKSeas,PKSupv,PKMgr,UNRep"</formula1>
    </dataValidation>
    <dataValidation type="list" allowBlank="1" showInputMessage="1" showErrorMessage="1" sqref="C12 F12" xr:uid="{73B718DB-A6A6-4B44-A6E9-6196C4C7DE9C}">
      <formula1>"Single (SEIU),Two-Party (SEIU),Family (SEIU), Single (Unrep/Mgmt),Two-party (Unrep/Mgmt),Family (Unrep/Mgmt)"</formula1>
    </dataValidation>
  </dataValidations>
  <pageMargins left="0.15" right="0.15" top="0.15" bottom="0.15" header="0.3" footer="0.3"/>
  <pageSetup scale="76" fitToWidth="2" orientation="landscape" r:id="rId1"/>
  <colBreaks count="2" manualBreakCount="2">
    <brk id="10" max="1048575" man="1"/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33"/>
  <sheetViews>
    <sheetView workbookViewId="0">
      <selection activeCell="B30" sqref="B30"/>
    </sheetView>
  </sheetViews>
  <sheetFormatPr defaultRowHeight="15"/>
  <cols>
    <col min="1" max="1" width="33.85546875" bestFit="1" customWidth="1"/>
    <col min="2" max="6" width="14.42578125" style="1" customWidth="1"/>
  </cols>
  <sheetData>
    <row r="1" spans="1:6" s="10" customFormat="1">
      <c r="B1" s="11" t="s">
        <v>19</v>
      </c>
      <c r="C1" s="11" t="s">
        <v>20</v>
      </c>
      <c r="D1" s="11" t="s">
        <v>27</v>
      </c>
      <c r="E1" s="11" t="s">
        <v>21</v>
      </c>
      <c r="F1" s="11" t="s">
        <v>22</v>
      </c>
    </row>
    <row r="2" spans="1:6" ht="15.75" thickBot="1">
      <c r="A2" s="9" t="s">
        <v>18</v>
      </c>
      <c r="B2" s="4" t="s">
        <v>30</v>
      </c>
      <c r="C2" s="4" t="s">
        <v>28</v>
      </c>
      <c r="D2" s="4" t="s">
        <v>29</v>
      </c>
      <c r="E2" s="4" t="s">
        <v>31</v>
      </c>
      <c r="F2" s="4" t="s">
        <v>32</v>
      </c>
    </row>
    <row r="3" spans="1:6">
      <c r="A3" s="2" t="s">
        <v>2</v>
      </c>
      <c r="B3" s="5">
        <v>2.0999999999999999E-3</v>
      </c>
      <c r="C3" s="5">
        <v>2.0999999999999999E-3</v>
      </c>
      <c r="D3" s="5">
        <v>2.0999999999999999E-3</v>
      </c>
      <c r="E3" s="5">
        <v>2.0999999999999999E-3</v>
      </c>
      <c r="F3" s="5">
        <v>2.0999999999999999E-3</v>
      </c>
    </row>
    <row r="4" spans="1:6">
      <c r="A4" s="2" t="s">
        <v>3</v>
      </c>
      <c r="B4" s="5">
        <v>6.2E-2</v>
      </c>
      <c r="C4" s="5">
        <v>6.2E-2</v>
      </c>
      <c r="D4" s="5">
        <v>6.2E-2</v>
      </c>
      <c r="E4" s="5">
        <v>6.2E-2</v>
      </c>
      <c r="F4" s="5">
        <v>6.2E-2</v>
      </c>
    </row>
    <row r="5" spans="1:6">
      <c r="A5" s="2" t="s">
        <v>4</v>
      </c>
      <c r="B5" s="5">
        <v>1.4500000000000001E-2</v>
      </c>
      <c r="C5" s="5">
        <v>1.4500000000000001E-2</v>
      </c>
      <c r="D5" s="5">
        <v>1.4500000000000001E-2</v>
      </c>
      <c r="E5" s="5">
        <v>1.4500000000000001E-2</v>
      </c>
      <c r="F5" s="5">
        <v>1.4500000000000001E-2</v>
      </c>
    </row>
    <row r="6" spans="1:6">
      <c r="A6" s="2" t="s">
        <v>74</v>
      </c>
      <c r="B6" s="5">
        <v>411.5</v>
      </c>
      <c r="C6" s="5"/>
      <c r="D6" s="5"/>
      <c r="E6" s="5"/>
      <c r="F6" s="5"/>
    </row>
    <row r="7" spans="1:6">
      <c r="A7" s="2" t="s">
        <v>75</v>
      </c>
      <c r="B7" s="5">
        <v>436.5</v>
      </c>
      <c r="C7" s="5"/>
      <c r="D7" s="5"/>
      <c r="E7" s="5"/>
      <c r="F7" s="5"/>
    </row>
    <row r="8" spans="1:6">
      <c r="A8" s="2" t="s">
        <v>76</v>
      </c>
      <c r="B8" s="5">
        <v>511.5</v>
      </c>
      <c r="C8" s="5"/>
      <c r="D8" s="5"/>
      <c r="E8" s="5"/>
      <c r="F8" s="5"/>
    </row>
    <row r="9" spans="1:6">
      <c r="A9" s="2" t="s">
        <v>77</v>
      </c>
      <c r="B9" s="5">
        <v>411.5</v>
      </c>
      <c r="C9" s="5"/>
      <c r="D9" s="5"/>
      <c r="E9" s="5"/>
      <c r="F9" s="5"/>
    </row>
    <row r="10" spans="1:6">
      <c r="A10" s="2" t="s">
        <v>78</v>
      </c>
      <c r="B10" s="5">
        <v>424</v>
      </c>
      <c r="C10" s="5"/>
      <c r="D10" s="5"/>
      <c r="E10" s="5"/>
      <c r="F10" s="5"/>
    </row>
    <row r="11" spans="1:6">
      <c r="A11" s="2" t="s">
        <v>79</v>
      </c>
      <c r="B11" s="5">
        <v>461.5</v>
      </c>
      <c r="C11" s="5"/>
      <c r="D11" s="5"/>
      <c r="E11" s="5"/>
      <c r="F11" s="5"/>
    </row>
    <row r="12" spans="1:6">
      <c r="A12" s="2" t="s">
        <v>9</v>
      </c>
      <c r="B12" s="5"/>
      <c r="C12" s="5"/>
      <c r="D12" s="5">
        <v>6.0400000000000002E-3</v>
      </c>
      <c r="E12" s="5">
        <v>6.0400000000000002E-3</v>
      </c>
      <c r="F12" s="5">
        <v>6.0400000000000002E-3</v>
      </c>
    </row>
    <row r="13" spans="1:6">
      <c r="A13" s="2" t="s">
        <v>10</v>
      </c>
      <c r="B13" s="5">
        <v>1.4800000000000001E-2</v>
      </c>
      <c r="C13" s="5"/>
      <c r="D13" s="5"/>
      <c r="E13" s="5"/>
      <c r="F13" s="5"/>
    </row>
    <row r="14" spans="1:6">
      <c r="A14" s="2" t="s">
        <v>11</v>
      </c>
      <c r="B14" s="5"/>
      <c r="C14" s="5"/>
      <c r="D14" s="5"/>
      <c r="E14" s="5"/>
      <c r="F14" s="5"/>
    </row>
    <row r="15" spans="1:6">
      <c r="A15" s="2" t="s">
        <v>12</v>
      </c>
      <c r="B15" s="6">
        <v>1.33</v>
      </c>
      <c r="C15" s="6"/>
      <c r="D15" s="6">
        <v>2.2799999999999998</v>
      </c>
      <c r="E15" s="6">
        <v>3.82</v>
      </c>
      <c r="F15" s="6">
        <v>3.82</v>
      </c>
    </row>
    <row r="16" spans="1:6">
      <c r="A16" s="2" t="s">
        <v>13</v>
      </c>
      <c r="B16" s="6"/>
      <c r="C16" s="6"/>
      <c r="D16" s="6"/>
      <c r="E16" s="6">
        <v>8.35</v>
      </c>
      <c r="F16" s="6">
        <v>8.35</v>
      </c>
    </row>
    <row r="17" spans="1:6">
      <c r="A17" s="2" t="s">
        <v>14</v>
      </c>
      <c r="B17" s="6">
        <v>0.11</v>
      </c>
      <c r="C17" s="6">
        <v>0.11</v>
      </c>
      <c r="D17" s="6">
        <v>0.11</v>
      </c>
      <c r="E17" s="5"/>
      <c r="F17" s="5"/>
    </row>
    <row r="18" spans="1:6">
      <c r="A18" s="3" t="s">
        <v>15</v>
      </c>
      <c r="B18" s="7"/>
      <c r="C18" s="7"/>
      <c r="D18" s="7"/>
      <c r="E18" s="8">
        <v>50</v>
      </c>
      <c r="F18" s="8">
        <v>50</v>
      </c>
    </row>
    <row r="19" spans="1:6">
      <c r="A19" s="3" t="s">
        <v>83</v>
      </c>
      <c r="B19" s="156">
        <f>(20.960309+('Cost Comparison'!$C$18*0.0117)+('Cost Comparison'!$C$18*0.00000507))/26</f>
        <v>1.4364387307692306</v>
      </c>
      <c r="C19" s="156">
        <f>(20.960309+('Cost Comparison'!$C$18*0.0117)+('Cost Comparison'!$C$18*0.00000507))/26</f>
        <v>1.4364387307692306</v>
      </c>
      <c r="D19" s="156">
        <f>(20.960309+('Cost Comparison'!$C$18*0.0117)+('Cost Comparison'!$C$18*0.00000507))/26</f>
        <v>1.4364387307692306</v>
      </c>
      <c r="E19" s="157">
        <v>0</v>
      </c>
      <c r="F19" s="157">
        <v>0</v>
      </c>
    </row>
    <row r="23" spans="1:6">
      <c r="B23"/>
    </row>
    <row r="24" spans="1:6">
      <c r="A24" s="118" t="s">
        <v>63</v>
      </c>
      <c r="B24" s="13"/>
    </row>
    <row r="25" spans="1:6">
      <c r="A25" s="13" t="s">
        <v>54</v>
      </c>
      <c r="B25" s="33">
        <f>50*12</f>
        <v>600</v>
      </c>
    </row>
    <row r="26" spans="1:6">
      <c r="A26" s="13" t="s">
        <v>57</v>
      </c>
      <c r="B26" s="33">
        <f>178*12</f>
        <v>2136</v>
      </c>
    </row>
    <row r="27" spans="1:6">
      <c r="A27" s="13" t="s">
        <v>60</v>
      </c>
      <c r="B27" s="33">
        <v>45</v>
      </c>
    </row>
    <row r="28" spans="1:6">
      <c r="A28" s="13" t="s">
        <v>55</v>
      </c>
      <c r="B28" s="33">
        <v>350</v>
      </c>
    </row>
    <row r="29" spans="1:6">
      <c r="A29" s="13" t="s">
        <v>59</v>
      </c>
      <c r="B29" s="33">
        <v>200</v>
      </c>
    </row>
    <row r="30" spans="1:6">
      <c r="A30" s="13" t="s">
        <v>56</v>
      </c>
      <c r="B30" s="33">
        <f>4.96*26</f>
        <v>128.96</v>
      </c>
    </row>
    <row r="31" spans="1:6">
      <c r="A31" s="22" t="s">
        <v>58</v>
      </c>
      <c r="B31" s="33">
        <f>40.885*26</f>
        <v>1063.01</v>
      </c>
    </row>
    <row r="32" spans="1:6" ht="15.75" thickBot="1">
      <c r="A32" s="13"/>
      <c r="B32" s="119">
        <f>SUM(B25:B31)</f>
        <v>4522.97</v>
      </c>
    </row>
    <row r="33" ht="15.75" thickTop="1"/>
  </sheetData>
  <sheetProtection algorithmName="SHA-512" hashValue="FI33qUlCAB03KSjyKNXBampqM+USSczBVVFsMPLjqui7yTZd9NFF0B2N0Mc/KFdtYqAi+ZJKPVp3voZBTraIHQ==" saltValue="kSa5pYKOi31UZbLDayDH9w==" spinCount="100000" sheet="1" objects="1" scenarios="1"/>
  <pageMargins left="0.5" right="0.5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Comparison</vt:lpstr>
      <vt:lpstr>FY21-22 Benefit Rates</vt:lpstr>
      <vt:lpstr>'Cost Comparison'!Print_Titles</vt:lpstr>
    </vt:vector>
  </TitlesOfParts>
  <Company>Riverside County Parks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Gomez</dc:creator>
  <cp:lastModifiedBy>Alferez, Michael</cp:lastModifiedBy>
  <cp:lastPrinted>2018-12-04T23:21:58Z</cp:lastPrinted>
  <dcterms:created xsi:type="dcterms:W3CDTF">2012-09-05T21:34:42Z</dcterms:created>
  <dcterms:modified xsi:type="dcterms:W3CDTF">2021-11-19T20:03:54Z</dcterms:modified>
</cp:coreProperties>
</file>